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ouisgossieau/Downloads/"/>
    </mc:Choice>
  </mc:AlternateContent>
  <bookViews>
    <workbookView xWindow="0" yWindow="460" windowWidth="33600" windowHeight="18740" tabRatio="500"/>
  </bookViews>
  <sheets>
    <sheet name="Blad1" sheetId="1" r:id="rId1"/>
  </sheets>
  <definedNames>
    <definedName name="bestlbs">Blad1!$H$37</definedName>
    <definedName name="Bids">Blad1!$E$11</definedName>
    <definedName name="dssddsds">Blad1!$J$11</definedName>
    <definedName name="imfrange">Blad1!#REF!</definedName>
    <definedName name="lbsrange">Blad1!$C$37:$F$37</definedName>
    <definedName name="logbest">Blad1!$H$48</definedName>
    <definedName name="logrange">Blad1!$C$48:$F$48</definedName>
    <definedName name="maximfscore">Blad1!#REF!</definedName>
    <definedName name="minvev">Blad1!$H$28</definedName>
    <definedName name="N">Blad1!$E$6</definedName>
    <definedName name="pbest">Blad1!$H$4</definedName>
    <definedName name="percentofPbest">Blad1!#REF!</definedName>
    <definedName name="_xlnm.Print_Area" localSheetId="0">Blad1!$A$1:$N$23</definedName>
    <definedName name="psetmax">Blad1!$D$17</definedName>
    <definedName name="psetmin">Blad1!$F$17</definedName>
    <definedName name="qbest">Blad1!$H$3</definedName>
    <definedName name="qsetvalue">Blad1!$D$26</definedName>
    <definedName name="qworst">Blad1!$I$3</definedName>
    <definedName name="tennetbest">Blad1!#REF!</definedName>
    <definedName name="tennetrange">Blad1!#REF!</definedName>
    <definedName name="ubest">Blad1!$H$10</definedName>
    <definedName name="umaxsykes">Blad1!#REF!</definedName>
    <definedName name="usykesbest">Blad1!$J$20</definedName>
    <definedName name="vfmmax">Blad1!$H$57</definedName>
    <definedName name="vfmrange">Blad1!$C$57:$F$57</definedName>
    <definedName name="wp">Blad1!$C$7</definedName>
    <definedName name="wq">Blad1!$C$6</definedName>
    <definedName name="xtimespbest">Blad1!$D$44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1" l="1"/>
  <c r="F56" i="1"/>
  <c r="F57" i="1"/>
  <c r="C55" i="1"/>
  <c r="C57" i="1"/>
  <c r="D55" i="1"/>
  <c r="D56" i="1"/>
  <c r="D57" i="1"/>
  <c r="E55" i="1"/>
  <c r="E56" i="1"/>
  <c r="E57" i="1"/>
  <c r="H57" i="1"/>
  <c r="F60" i="1"/>
  <c r="N10" i="1"/>
  <c r="E60" i="1"/>
  <c r="M10" i="1"/>
  <c r="D60" i="1"/>
  <c r="L10" i="1"/>
  <c r="C60" i="1"/>
  <c r="K10" i="1"/>
  <c r="F59" i="1"/>
  <c r="F61" i="1"/>
  <c r="E59" i="1"/>
  <c r="E61" i="1"/>
  <c r="D59" i="1"/>
  <c r="D61" i="1"/>
  <c r="C59" i="1"/>
  <c r="C61" i="1"/>
  <c r="F58" i="1"/>
  <c r="E58" i="1"/>
  <c r="D58" i="1"/>
  <c r="C58" i="1"/>
  <c r="C56" i="1"/>
  <c r="C7" i="1"/>
  <c r="H4" i="1"/>
  <c r="C47" i="1"/>
  <c r="C46" i="1"/>
  <c r="C48" i="1"/>
  <c r="D47" i="1"/>
  <c r="D46" i="1"/>
  <c r="D48" i="1"/>
  <c r="E47" i="1"/>
  <c r="E46" i="1"/>
  <c r="E48" i="1"/>
  <c r="F47" i="1"/>
  <c r="F46" i="1"/>
  <c r="F48" i="1"/>
  <c r="H48" i="1"/>
  <c r="F51" i="1"/>
  <c r="N9" i="1"/>
  <c r="E51" i="1"/>
  <c r="M9" i="1"/>
  <c r="D51" i="1"/>
  <c r="L9" i="1"/>
  <c r="C51" i="1"/>
  <c r="K9" i="1"/>
  <c r="F50" i="1"/>
  <c r="F52" i="1"/>
  <c r="E50" i="1"/>
  <c r="E52" i="1"/>
  <c r="C50" i="1"/>
  <c r="C52" i="1"/>
  <c r="D50" i="1"/>
  <c r="E6" i="1"/>
  <c r="D52" i="1"/>
  <c r="C36" i="1"/>
  <c r="C35" i="1"/>
  <c r="C37" i="1"/>
  <c r="D36" i="1"/>
  <c r="D35" i="1"/>
  <c r="D37" i="1"/>
  <c r="E36" i="1"/>
  <c r="E35" i="1"/>
  <c r="E37" i="1"/>
  <c r="F36" i="1"/>
  <c r="F35" i="1"/>
  <c r="F37" i="1"/>
  <c r="H37" i="1"/>
  <c r="D40" i="1"/>
  <c r="E40" i="1"/>
  <c r="F40" i="1"/>
  <c r="F49" i="1"/>
  <c r="E49" i="1"/>
  <c r="D49" i="1"/>
  <c r="C49" i="1"/>
  <c r="N8" i="1"/>
  <c r="M8" i="1"/>
  <c r="L8" i="1"/>
  <c r="C40" i="1"/>
  <c r="K8" i="1"/>
  <c r="F39" i="1"/>
  <c r="F41" i="1"/>
  <c r="E39" i="1"/>
  <c r="E41" i="1"/>
  <c r="C39" i="1"/>
  <c r="C41" i="1"/>
  <c r="D39" i="1"/>
  <c r="D41" i="1"/>
  <c r="F38" i="1"/>
  <c r="E38" i="1"/>
  <c r="D38" i="1"/>
  <c r="C38" i="1"/>
  <c r="H3" i="1"/>
  <c r="I3" i="1"/>
  <c r="C10" i="1"/>
  <c r="D10" i="1"/>
  <c r="E10" i="1"/>
  <c r="F10" i="1"/>
  <c r="H10" i="1"/>
  <c r="C11" i="1"/>
  <c r="D27" i="1"/>
  <c r="D28" i="1"/>
  <c r="E27" i="1"/>
  <c r="E28" i="1"/>
  <c r="F27" i="1"/>
  <c r="F28" i="1"/>
  <c r="C27" i="1"/>
  <c r="C28" i="1"/>
  <c r="H28" i="1"/>
  <c r="F30" i="1"/>
  <c r="F31" i="1"/>
  <c r="N7" i="1"/>
  <c r="E30" i="1"/>
  <c r="E31" i="1"/>
  <c r="M7" i="1"/>
  <c r="D30" i="1"/>
  <c r="D31" i="1"/>
  <c r="L7" i="1"/>
  <c r="C30" i="1"/>
  <c r="C31" i="1"/>
  <c r="K7" i="1"/>
  <c r="D18" i="1"/>
  <c r="D19" i="1"/>
  <c r="D20" i="1"/>
  <c r="E18" i="1"/>
  <c r="E19" i="1"/>
  <c r="E20" i="1"/>
  <c r="C19" i="1"/>
  <c r="C18" i="1"/>
  <c r="C20" i="1"/>
  <c r="F19" i="1"/>
  <c r="F18" i="1"/>
  <c r="F20" i="1"/>
  <c r="F22" i="1"/>
  <c r="N6" i="1"/>
  <c r="E22" i="1"/>
  <c r="M6" i="1"/>
  <c r="D22" i="1"/>
  <c r="L6" i="1"/>
  <c r="C22" i="1"/>
  <c r="K6" i="1"/>
  <c r="F11" i="1"/>
  <c r="N5" i="1"/>
  <c r="E11" i="1"/>
  <c r="M5" i="1"/>
  <c r="D11" i="1"/>
  <c r="L5" i="1"/>
  <c r="K5" i="1"/>
  <c r="N4" i="1"/>
  <c r="M4" i="1"/>
  <c r="L4" i="1"/>
  <c r="N3" i="1"/>
  <c r="M3" i="1"/>
  <c r="L3" i="1"/>
  <c r="K4" i="1"/>
  <c r="K3" i="1"/>
  <c r="F32" i="1"/>
  <c r="E32" i="1"/>
  <c r="D32" i="1"/>
  <c r="C32" i="1"/>
  <c r="F29" i="1"/>
  <c r="E29" i="1"/>
  <c r="D29" i="1"/>
  <c r="C29" i="1"/>
  <c r="F12" i="1"/>
  <c r="C12" i="1"/>
  <c r="D12" i="1"/>
  <c r="E12" i="1"/>
  <c r="F13" i="1"/>
  <c r="E13" i="1"/>
  <c r="D13" i="1"/>
  <c r="C13" i="1"/>
  <c r="H20" i="1"/>
  <c r="H19" i="1"/>
  <c r="H18" i="1"/>
  <c r="F23" i="1"/>
  <c r="E23" i="1"/>
  <c r="D23" i="1"/>
  <c r="C23" i="1"/>
  <c r="F21" i="1"/>
  <c r="E21" i="1"/>
  <c r="D21" i="1"/>
  <c r="C21" i="1"/>
  <c r="F14" i="1"/>
  <c r="E14" i="1"/>
  <c r="D14" i="1"/>
  <c r="C14" i="1"/>
</calcChain>
</file>

<file path=xl/sharedStrings.xml><?xml version="1.0" encoding="utf-8"?>
<sst xmlns="http://schemas.openxmlformats.org/spreadsheetml/2006/main" count="76" uniqueCount="52">
  <si>
    <t>P</t>
    <phoneticPr fontId="1" type="noConversion"/>
  </si>
  <si>
    <t>best</t>
    <phoneticPr fontId="1" type="noConversion"/>
  </si>
  <si>
    <t>WP</t>
    <phoneticPr fontId="1" type="noConversion"/>
  </si>
  <si>
    <t>Q/P ratio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</si>
  <si>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</si>
  <si>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</si>
  <si>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</si>
  <si>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</si>
  <si>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Q</t>
    <phoneticPr fontId="1" type="noConversion"/>
  </si>
  <si>
    <t>WQ</t>
    <phoneticPr fontId="1" type="noConversion"/>
  </si>
  <si>
    <t>N</t>
    <phoneticPr fontId="1" type="noConversion"/>
  </si>
  <si>
    <t>rank</t>
  </si>
  <si>
    <t>(too expensive %)</t>
  </si>
  <si>
    <t>best buy Nx</t>
  </si>
  <si>
    <t>too expensive</t>
  </si>
  <si>
    <t>NX utility index (U)</t>
  </si>
  <si>
    <t>Psetmax</t>
  </si>
  <si>
    <t>Psetmin</t>
  </si>
  <si>
    <t>Qscore</t>
  </si>
  <si>
    <t>Pscore</t>
  </si>
  <si>
    <t>total Score</t>
  </si>
  <si>
    <t>WQ x Qi + WP x ((Psetmax - Pi) / (Psetmax - Psetmin))</t>
  </si>
  <si>
    <t>best buy</t>
  </si>
  <si>
    <t>Qset value</t>
  </si>
  <si>
    <t>value discount</t>
  </si>
  <si>
    <t>rank on lowest Vev</t>
  </si>
  <si>
    <t>evaluation value (Vev)</t>
  </si>
  <si>
    <t>Eveluation value (Vev) = Pi - (VQset x Qi)</t>
  </si>
  <si>
    <t>Bid</t>
  </si>
  <si>
    <t>worst</t>
  </si>
  <si>
    <t>Low Bid Scoring (LBS)</t>
  </si>
  <si>
    <t>Score = WeightP x Pbest/Pi + WeightQ x Qi</t>
  </si>
  <si>
    <t>LBS</t>
  </si>
  <si>
    <t>Log</t>
  </si>
  <si>
    <t>Utility Index</t>
  </si>
  <si>
    <t>weigted factor score</t>
  </si>
  <si>
    <t>value based award</t>
  </si>
  <si>
    <t>WFS</t>
  </si>
  <si>
    <t>UI</t>
  </si>
  <si>
    <t>VBA</t>
  </si>
  <si>
    <t>A (&gt; 1)</t>
  </si>
  <si>
    <t>Score = WQ x Qi + (WP - WP x log (Pi/Pbest) / log A) also written as WQ x Qi + WP ( 1 - log (pi/Pbest) / log A)</t>
  </si>
  <si>
    <t>x price of Pbest results in 0 price score</t>
  </si>
  <si>
    <t>(red text  cells can be adjusted to simulate offers with various P and Q)</t>
  </si>
  <si>
    <t>Log formula</t>
  </si>
  <si>
    <t>A = 2 is the default setting for this formula, but a value from 1</t>
  </si>
  <si>
    <t>u = [ (1-(Qbest-Qi) x N)  /  Pi ] x Pbest  , use U for bb price Pi-(u/ubest x Pi)</t>
  </si>
  <si>
    <t>Q</t>
  </si>
  <si>
    <t>P</t>
  </si>
  <si>
    <t>Q/P</t>
  </si>
  <si>
    <t>VfM</t>
  </si>
  <si>
    <t>Value for Money 50/50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</si>
</sst>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23" x14ac:knownFonts="1">
    <font>
      <sz val="10"/>
      <name val="Verdana"/>
    </font>
    <font>
      <sz val="8"/>
      <name val="Verdana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22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FF000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sz val="12"/>
      <color rgb="FF008000"/>
      <name val="Calibri"/>
      <family val="2"/>
    </font>
    <font>
      <b/>
      <sz val="12"/>
      <color rgb="FF0000FF"/>
      <name val="Calibri"/>
      <family val="2"/>
    </font>
    <font>
      <sz val="10"/>
      <name val="Verdana"/>
      <family val="2"/>
    </font>
    <font>
      <sz val="12"/>
      <color rgb="FFC0C0C0"/>
      <name val="Calibri"/>
      <family val="2"/>
    </font>
    <font>
      <sz val="12"/>
      <color theme="9"/>
      <name val="Calibri"/>
      <family val="2"/>
    </font>
    <font>
      <sz val="12"/>
      <color rgb="FFFF0000"/>
      <name val="Calibri"/>
      <family val="2"/>
    </font>
    <font>
      <sz val="12"/>
      <color theme="0" tint="-0.499984740745262"/>
      <name val="Calibri"/>
    </font>
    <font>
      <sz val="10"/>
      <color indexed="10"/>
      <name val="Calibri"/>
    </font>
    <font>
      <sz val="12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8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1" xfId="0" applyFont="1" applyBorder="1"/>
    <xf numFmtId="2" fontId="3" fillId="0" borderId="3" xfId="0" applyNumberFormat="1" applyFont="1" applyBorder="1"/>
    <xf numFmtId="0" fontId="2" fillId="0" borderId="3" xfId="0" applyFont="1" applyBorder="1"/>
    <xf numFmtId="0" fontId="4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165" fontId="3" fillId="0" borderId="0" xfId="0" applyNumberFormat="1" applyFont="1" applyBorder="1"/>
    <xf numFmtId="165" fontId="3" fillId="0" borderId="7" xfId="0" applyNumberFormat="1" applyFont="1" applyBorder="1"/>
    <xf numFmtId="164" fontId="5" fillId="0" borderId="7" xfId="0" applyNumberFormat="1" applyFont="1" applyBorder="1"/>
    <xf numFmtId="0" fontId="5" fillId="0" borderId="8" xfId="0" applyFont="1" applyBorder="1"/>
    <xf numFmtId="165" fontId="6" fillId="0" borderId="3" xfId="0" applyNumberFormat="1" applyFont="1" applyBorder="1"/>
    <xf numFmtId="0" fontId="2" fillId="0" borderId="2" xfId="0" applyFont="1" applyBorder="1"/>
    <xf numFmtId="0" fontId="6" fillId="0" borderId="0" xfId="0" applyFont="1"/>
    <xf numFmtId="165" fontId="8" fillId="0" borderId="0" xfId="0" applyNumberFormat="1" applyFont="1"/>
    <xf numFmtId="0" fontId="6" fillId="0" borderId="7" xfId="0" applyFont="1" applyBorder="1" applyAlignment="1">
      <alignment horizontal="center"/>
    </xf>
    <xf numFmtId="10" fontId="2" fillId="0" borderId="0" xfId="0" applyNumberFormat="1" applyFont="1"/>
    <xf numFmtId="9" fontId="2" fillId="0" borderId="0" xfId="0" applyNumberFormat="1" applyFont="1"/>
    <xf numFmtId="0" fontId="6" fillId="0" borderId="0" xfId="0" applyNumberFormat="1" applyFont="1"/>
    <xf numFmtId="0" fontId="11" fillId="0" borderId="0" xfId="0" applyFont="1"/>
    <xf numFmtId="0" fontId="12" fillId="0" borderId="0" xfId="0" applyFont="1"/>
    <xf numFmtId="0" fontId="7" fillId="0" borderId="4" xfId="0" applyFont="1" applyBorder="1"/>
    <xf numFmtId="165" fontId="7" fillId="0" borderId="0" xfId="0" applyNumberFormat="1" applyFont="1" applyBorder="1"/>
    <xf numFmtId="0" fontId="7" fillId="0" borderId="1" xfId="0" applyFont="1" applyBorder="1"/>
    <xf numFmtId="2" fontId="7" fillId="0" borderId="3" xfId="0" applyNumberFormat="1" applyFont="1" applyBorder="1"/>
    <xf numFmtId="0" fontId="7" fillId="0" borderId="0" xfId="0" applyFont="1"/>
    <xf numFmtId="2" fontId="7" fillId="0" borderId="0" xfId="0" applyNumberFormat="1" applyFont="1"/>
    <xf numFmtId="165" fontId="2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/>
    <xf numFmtId="0" fontId="14" fillId="0" borderId="0" xfId="0" applyFont="1"/>
    <xf numFmtId="0" fontId="15" fillId="0" borderId="0" xfId="0" applyFont="1"/>
    <xf numFmtId="2" fontId="2" fillId="0" borderId="0" xfId="297" applyNumberFormat="1" applyFont="1"/>
    <xf numFmtId="2" fontId="12" fillId="0" borderId="0" xfId="297" applyNumberFormat="1" applyFont="1"/>
    <xf numFmtId="166" fontId="2" fillId="0" borderId="0" xfId="0" applyNumberFormat="1" applyFont="1"/>
    <xf numFmtId="165" fontId="17" fillId="0" borderId="0" xfId="0" applyNumberFormat="1" applyFont="1"/>
    <xf numFmtId="0" fontId="18" fillId="0" borderId="0" xfId="0" applyFont="1"/>
    <xf numFmtId="9" fontId="19" fillId="0" borderId="0" xfId="297" applyFont="1"/>
    <xf numFmtId="0" fontId="2" fillId="0" borderId="0" xfId="0" applyFont="1" applyAlignment="1">
      <alignment horizontal="right"/>
    </xf>
    <xf numFmtId="0" fontId="4" fillId="0" borderId="0" xfId="0" applyFont="1"/>
    <xf numFmtId="0" fontId="20" fillId="0" borderId="0" xfId="0" applyFont="1"/>
    <xf numFmtId="2" fontId="6" fillId="0" borderId="0" xfId="297" applyNumberFormat="1" applyFont="1"/>
    <xf numFmtId="0" fontId="21" fillId="0" borderId="0" xfId="0" applyFont="1"/>
    <xf numFmtId="0" fontId="6" fillId="0" borderId="0" xfId="0" applyFont="1" applyBorder="1"/>
    <xf numFmtId="0" fontId="12" fillId="0" borderId="8" xfId="0" applyFont="1" applyBorder="1" applyAlignment="1">
      <alignment horizontal="left"/>
    </xf>
    <xf numFmtId="165" fontId="12" fillId="0" borderId="5" xfId="0" applyNumberFormat="1" applyFont="1" applyBorder="1" applyAlignment="1">
      <alignment horizontal="left"/>
    </xf>
    <xf numFmtId="2" fontId="12" fillId="0" borderId="2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10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2" fontId="2" fillId="0" borderId="0" xfId="297" applyNumberFormat="1" applyFont="1" applyAlignment="1">
      <alignment horizontal="left"/>
    </xf>
    <xf numFmtId="0" fontId="6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left"/>
    </xf>
    <xf numFmtId="0" fontId="22" fillId="0" borderId="0" xfId="0" applyFont="1"/>
  </cellXfs>
  <cellStyles count="6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Normal" xfId="0" builtinId="0"/>
    <cellStyle name="Percent" xfId="297" builtinId="5"/>
  </cellStyles>
  <dxfs count="0"/>
  <tableStyles count="0" defaultTableStyle="TableStyleMedium9" defaultPivotStyle="PivotStyleMedium4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51172831337259"/>
          <c:y val="0.0198019801980198"/>
          <c:w val="0.691510785416529"/>
          <c:h val="0.905082638185078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Blad1!$J$4</c:f>
              <c:strCache>
                <c:ptCount val="1"/>
                <c:pt idx="0">
                  <c:v>Bid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Blad1!$K$3:$N$3</c:f>
              <c:numCache>
                <c:formatCode>#,#00%</c:formatCode>
                <c:ptCount val="4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0.25</c:v>
                </c:pt>
              </c:numCache>
            </c:numRef>
          </c:xVal>
          <c:yVal>
            <c:numRef>
              <c:f>Blad1!$K$4:$N$4</c:f>
              <c:numCache>
                <c:formatCode>0.00</c:formatCode>
                <c:ptCount val="4"/>
                <c:pt idx="0">
                  <c:v>1000.0</c:v>
                </c:pt>
                <c:pt idx="1">
                  <c:v>900.0</c:v>
                </c:pt>
                <c:pt idx="2">
                  <c:v>800.0</c:v>
                </c:pt>
                <c:pt idx="3">
                  <c:v>700.0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Blad1!$J$5</c:f>
              <c:strCache>
                <c:ptCount val="1"/>
                <c:pt idx="0">
                  <c:v>UI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Blad1!$K$3:$N$3</c:f>
              <c:numCache>
                <c:formatCode>#,#00%</c:formatCode>
                <c:ptCount val="4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0.25</c:v>
                </c:pt>
              </c:numCache>
            </c:numRef>
          </c:xVal>
          <c:yVal>
            <c:numRef>
              <c:f>Blad1!$K$5:$N$5</c:f>
              <c:numCache>
                <c:formatCode>0.00</c:formatCode>
                <c:ptCount val="4"/>
                <c:pt idx="0">
                  <c:v>888.8888888888888</c:v>
                </c:pt>
                <c:pt idx="1">
                  <c:v>844.4444444444443</c:v>
                </c:pt>
                <c:pt idx="2">
                  <c:v>800.0</c:v>
                </c:pt>
                <c:pt idx="3">
                  <c:v>666.6666666666666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Blad1!$J$6</c:f>
              <c:strCache>
                <c:ptCount val="1"/>
                <c:pt idx="0">
                  <c:v>WFS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marker>
            <c:symbol val="circle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Blad1!$K$3:$N$3</c:f>
              <c:numCache>
                <c:formatCode>#,#00%</c:formatCode>
                <c:ptCount val="4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0.25</c:v>
                </c:pt>
              </c:numCache>
            </c:numRef>
          </c:xVal>
          <c:yVal>
            <c:numRef>
              <c:f>Blad1!$K$6:$N$6</c:f>
              <c:numCache>
                <c:formatCode>0.00</c:formatCode>
                <c:ptCount val="4"/>
                <c:pt idx="0">
                  <c:v>880.0</c:v>
                </c:pt>
                <c:pt idx="1">
                  <c:v>840.0</c:v>
                </c:pt>
                <c:pt idx="2">
                  <c:v>800.0</c:v>
                </c:pt>
                <c:pt idx="3">
                  <c:v>680.0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Blad1!$J$7</c:f>
              <c:strCache>
                <c:ptCount val="1"/>
                <c:pt idx="0">
                  <c:v>VBA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Blad1!$K$3:$N$3</c:f>
              <c:numCache>
                <c:formatCode>#,#00%</c:formatCode>
                <c:ptCount val="4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0.25</c:v>
                </c:pt>
              </c:numCache>
            </c:numRef>
          </c:xVal>
          <c:yVal>
            <c:numRef>
              <c:f>Blad1!$K$7:$N$7</c:f>
              <c:numCache>
                <c:formatCode>0.00</c:formatCode>
                <c:ptCount val="4"/>
                <c:pt idx="0">
                  <c:v>880.0</c:v>
                </c:pt>
                <c:pt idx="1">
                  <c:v>840.0</c:v>
                </c:pt>
                <c:pt idx="2">
                  <c:v>800.0</c:v>
                </c:pt>
                <c:pt idx="3">
                  <c:v>680.0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Blad1!$J$8</c:f>
              <c:strCache>
                <c:ptCount val="1"/>
                <c:pt idx="0">
                  <c:v>LBS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Blad1!$K$3:$N$3</c:f>
              <c:numCache>
                <c:formatCode>#,#00%</c:formatCode>
                <c:ptCount val="4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0.25</c:v>
                </c:pt>
              </c:numCache>
            </c:numRef>
          </c:xVal>
          <c:yVal>
            <c:numRef>
              <c:f>Blad1!$K$8:$N$8</c:f>
              <c:numCache>
                <c:formatCode>0,000</c:formatCode>
                <c:ptCount val="4"/>
                <c:pt idx="0">
                  <c:v>903.225806451613</c:v>
                </c:pt>
                <c:pt idx="1">
                  <c:v>848.4848484848485</c:v>
                </c:pt>
                <c:pt idx="2">
                  <c:v>800.0000000000001</c:v>
                </c:pt>
                <c:pt idx="3">
                  <c:v>682.9268292682927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Blad1!$J$9</c:f>
              <c:strCache>
                <c:ptCount val="1"/>
                <c:pt idx="0">
                  <c:v>Log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Blad1!$K$3:$N$3</c:f>
              <c:numCache>
                <c:formatCode>#,#00%</c:formatCode>
                <c:ptCount val="4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0.25</c:v>
                </c:pt>
              </c:numCache>
            </c:numRef>
          </c:xVal>
          <c:yVal>
            <c:numRef>
              <c:f>Blad1!$K$9:$N$9</c:f>
              <c:numCache>
                <c:formatCode>0,000</c:formatCode>
                <c:ptCount val="4"/>
                <c:pt idx="0">
                  <c:v>832.4449805019057</c:v>
                </c:pt>
                <c:pt idx="1">
                  <c:v>804.0888484979257</c:v>
                </c:pt>
                <c:pt idx="2">
                  <c:v>776.6986304474922</c:v>
                </c:pt>
                <c:pt idx="3">
                  <c:v>700.0000000000004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Blad1!$J$10</c:f>
              <c:strCache>
                <c:ptCount val="1"/>
                <c:pt idx="0">
                  <c:v>VfM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10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Blad1!$K$3:$N$3</c:f>
              <c:numCache>
                <c:formatCode>#,#00%</c:formatCode>
                <c:ptCount val="4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0.25</c:v>
                </c:pt>
              </c:numCache>
            </c:numRef>
          </c:xVal>
          <c:yVal>
            <c:numRef>
              <c:f>Blad1!$K$10:$N$10</c:f>
              <c:numCache>
                <c:formatCode>0,000</c:formatCode>
                <c:ptCount val="4"/>
                <c:pt idx="0">
                  <c:v>1000.0</c:v>
                </c:pt>
                <c:pt idx="1">
                  <c:v>900.0</c:v>
                </c:pt>
                <c:pt idx="2">
                  <c:v>800.0</c:v>
                </c:pt>
                <c:pt idx="3">
                  <c:v>500.0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49847168"/>
        <c:axId val="-652416016"/>
      </c:scatterChart>
      <c:valAx>
        <c:axId val="-649847168"/>
        <c:scaling>
          <c:orientation val="minMax"/>
          <c:max val="1.0"/>
          <c:min val="0.0"/>
        </c:scaling>
        <c:delete val="0"/>
        <c:axPos val="b"/>
        <c:numFmt formatCode="0.0%" sourceLinked="1"/>
        <c:majorTickMark val="out"/>
        <c:minorTickMark val="none"/>
        <c:tickLblPos val="nextTo"/>
        <c:crossAx val="-652416016"/>
        <c:crosses val="autoZero"/>
        <c:crossBetween val="midCat"/>
      </c:valAx>
      <c:valAx>
        <c:axId val="-652416016"/>
        <c:scaling>
          <c:orientation val="minMax"/>
          <c:min val="200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649847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0477229585195"/>
          <c:y val="0.351432446947141"/>
          <c:w val="0.115350159765267"/>
          <c:h val="0.33034988532672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378460</xdr:colOff>
      <xdr:row>0</xdr:row>
      <xdr:rowOff>64135</xdr:rowOff>
    </xdr:from>
    <xdr:to>
      <xdr:col>15</xdr:col>
      <xdr:colOff>647700</xdr:colOff>
      <xdr:row>26</xdr:row>
      <xdr:rowOff>185420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"/>
  <sheetViews>
    <sheetView tabSelected="1" workbookViewId="0">
      <selection activeCell="B55" sqref="B55"/>
    </sheetView>
  </sheetViews>
  <sheetFormatPr baseColWidth="10" defaultColWidth="10.6640625" defaultRowHeight="16" x14ac:dyDescent="0.2"/>
  <cols>
    <col min="1" max="1" width="2.33203125" style="3" customWidth="1"/>
    <col min="2" max="2" width="20.83203125" style="3" customWidth="1"/>
    <col min="3" max="3" width="11.33203125" style="3" customWidth="1"/>
    <col min="4" max="6" width="9.33203125" style="3" customWidth="1"/>
    <col min="7" max="7" width="1.1640625" style="3" customWidth="1"/>
    <col min="8" max="8" width="22.6640625" style="27" customWidth="1"/>
    <col min="9" max="9" width="5.33203125" style="27" customWidth="1"/>
    <col min="10" max="10" width="10.1640625" style="3" customWidth="1"/>
    <col min="11" max="16384" width="10.6640625" style="3"/>
  </cols>
  <sheetData>
    <row r="1" spans="2:14" x14ac:dyDescent="0.2">
      <c r="B1" s="51" t="s">
        <v>43</v>
      </c>
      <c r="J1" s="5"/>
      <c r="K1" s="5"/>
      <c r="L1" s="5"/>
    </row>
    <row r="2" spans="2:14" x14ac:dyDescent="0.2">
      <c r="B2" s="1"/>
      <c r="C2" s="22" t="s">
        <v>4</v>
      </c>
      <c r="D2" s="22" t="s">
        <v>5</v>
      </c>
      <c r="E2" s="22" t="s">
        <v>6</v>
      </c>
      <c r="F2" s="22" t="s">
        <v>7</v>
      </c>
      <c r="G2" s="2"/>
      <c r="H2" s="53" t="s">
        <v>1</v>
      </c>
      <c r="I2" s="27" t="s">
        <v>29</v>
      </c>
      <c r="J2" s="5"/>
      <c r="K2" s="5"/>
      <c r="L2" s="5"/>
    </row>
    <row r="3" spans="2:14" x14ac:dyDescent="0.2">
      <c r="B3" s="4" t="s">
        <v>8</v>
      </c>
      <c r="C3" s="14">
        <v>0.5</v>
      </c>
      <c r="D3" s="14">
        <v>0.45</v>
      </c>
      <c r="E3" s="14">
        <v>0.4</v>
      </c>
      <c r="F3" s="14">
        <v>0.25</v>
      </c>
      <c r="G3" s="5"/>
      <c r="H3" s="54">
        <f>MAX(C3:F3)</f>
        <v>0.5</v>
      </c>
      <c r="I3" s="35">
        <f>MIN(C3:F3)</f>
        <v>0.25</v>
      </c>
      <c r="J3" s="28" t="s">
        <v>8</v>
      </c>
      <c r="K3" s="29">
        <f>C3</f>
        <v>0.5</v>
      </c>
      <c r="L3" s="29">
        <f t="shared" ref="L3:N4" si="0">D3</f>
        <v>0.45</v>
      </c>
      <c r="M3" s="29">
        <f t="shared" si="0"/>
        <v>0.4</v>
      </c>
      <c r="N3" s="29">
        <f t="shared" si="0"/>
        <v>0.25</v>
      </c>
    </row>
    <row r="4" spans="2:14" x14ac:dyDescent="0.2">
      <c r="B4" s="6" t="s">
        <v>0</v>
      </c>
      <c r="C4" s="7">
        <v>1000</v>
      </c>
      <c r="D4" s="7">
        <v>900</v>
      </c>
      <c r="E4" s="7">
        <v>800</v>
      </c>
      <c r="F4" s="7">
        <v>700</v>
      </c>
      <c r="G4" s="8"/>
      <c r="H4" s="55">
        <f>MIN(C4:F4)</f>
        <v>700</v>
      </c>
      <c r="J4" s="30" t="s">
        <v>28</v>
      </c>
      <c r="K4" s="31">
        <f>C4</f>
        <v>1000</v>
      </c>
      <c r="L4" s="31">
        <f t="shared" si="0"/>
        <v>900</v>
      </c>
      <c r="M4" s="31">
        <f t="shared" si="0"/>
        <v>800</v>
      </c>
      <c r="N4" s="31">
        <f t="shared" si="0"/>
        <v>700</v>
      </c>
    </row>
    <row r="5" spans="2:14" x14ac:dyDescent="0.2">
      <c r="H5" s="56"/>
      <c r="J5" s="32" t="s">
        <v>38</v>
      </c>
      <c r="K5" s="33">
        <f>C11</f>
        <v>888.8888888888888</v>
      </c>
      <c r="L5" s="33">
        <f t="shared" ref="L5:N5" si="1">D11</f>
        <v>844.44444444444434</v>
      </c>
      <c r="M5" s="33">
        <f t="shared" si="1"/>
        <v>800</v>
      </c>
      <c r="N5" s="33">
        <f t="shared" si="1"/>
        <v>666.66666666666663</v>
      </c>
    </row>
    <row r="6" spans="2:14" x14ac:dyDescent="0.2">
      <c r="B6" s="1" t="s">
        <v>3</v>
      </c>
      <c r="C6" s="15">
        <v>0.5</v>
      </c>
      <c r="D6" s="2" t="s">
        <v>9</v>
      </c>
      <c r="E6" s="16">
        <f>C6/C7</f>
        <v>1</v>
      </c>
      <c r="F6" s="17" t="s">
        <v>10</v>
      </c>
      <c r="H6" s="56"/>
      <c r="J6" s="32" t="s">
        <v>37</v>
      </c>
      <c r="K6" s="33">
        <f>C22</f>
        <v>880</v>
      </c>
      <c r="L6" s="33">
        <f t="shared" ref="L6:N6" si="2">D22</f>
        <v>840</v>
      </c>
      <c r="M6" s="33">
        <f t="shared" si="2"/>
        <v>800</v>
      </c>
      <c r="N6" s="33">
        <f t="shared" si="2"/>
        <v>680</v>
      </c>
    </row>
    <row r="7" spans="2:14" x14ac:dyDescent="0.2">
      <c r="B7" s="6"/>
      <c r="C7" s="18">
        <f>1-wq</f>
        <v>0.5</v>
      </c>
      <c r="D7" s="8" t="s">
        <v>2</v>
      </c>
      <c r="E7" s="8"/>
      <c r="F7" s="19"/>
      <c r="H7" s="56"/>
      <c r="J7" s="32" t="s">
        <v>39</v>
      </c>
      <c r="K7" s="33">
        <f>C31</f>
        <v>880</v>
      </c>
      <c r="L7" s="33">
        <f t="shared" ref="L7:N7" si="3">D31</f>
        <v>840</v>
      </c>
      <c r="M7" s="33">
        <f t="shared" si="3"/>
        <v>800</v>
      </c>
      <c r="N7" s="33">
        <f t="shared" si="3"/>
        <v>680</v>
      </c>
    </row>
    <row r="8" spans="2:14" x14ac:dyDescent="0.2">
      <c r="B8" s="9"/>
      <c r="C8" s="13"/>
      <c r="D8" s="13"/>
      <c r="E8" s="13"/>
      <c r="F8" s="13"/>
      <c r="H8" s="56"/>
      <c r="I8" s="36"/>
      <c r="J8" s="37" t="s">
        <v>32</v>
      </c>
      <c r="K8" s="38">
        <f>C40</f>
        <v>903.22580645161304</v>
      </c>
      <c r="L8" s="38">
        <f t="shared" ref="L8:N8" si="4">D40</f>
        <v>848.4848484848485</v>
      </c>
      <c r="M8" s="38">
        <f t="shared" si="4"/>
        <v>800.00000000000011</v>
      </c>
      <c r="N8" s="38">
        <f t="shared" si="4"/>
        <v>682.92682926829275</v>
      </c>
    </row>
    <row r="9" spans="2:14" x14ac:dyDescent="0.2">
      <c r="B9" s="26" t="s">
        <v>34</v>
      </c>
      <c r="C9" s="52" t="s">
        <v>46</v>
      </c>
      <c r="D9" s="13"/>
      <c r="E9" s="13"/>
      <c r="F9" s="13"/>
      <c r="H9" s="56"/>
      <c r="I9" s="36"/>
      <c r="J9" s="37" t="s">
        <v>33</v>
      </c>
      <c r="K9" s="38">
        <f>C51</f>
        <v>832.44498050190566</v>
      </c>
      <c r="L9" s="38">
        <f t="shared" ref="L9:N9" si="5">D51</f>
        <v>804.08884849792571</v>
      </c>
      <c r="M9" s="38">
        <f t="shared" si="5"/>
        <v>776.69863044749229</v>
      </c>
      <c r="N9" s="38">
        <f t="shared" si="5"/>
        <v>700.00000000000045</v>
      </c>
    </row>
    <row r="10" spans="2:14" x14ac:dyDescent="0.2">
      <c r="B10" s="10" t="s">
        <v>15</v>
      </c>
      <c r="C10" s="23">
        <f>(1-((qbest-C3)*N))/C4*pbest</f>
        <v>0.70000000000000007</v>
      </c>
      <c r="D10" s="23">
        <f>(1-((qbest-D3)*N))/D4*pbest</f>
        <v>0.73888888888888882</v>
      </c>
      <c r="E10" s="23">
        <f>(1-((qbest-E3)*N))/E4*pbest</f>
        <v>0.78750000000000009</v>
      </c>
      <c r="F10" s="23">
        <f>(1-((qbest-F3)*N))/F4*pbest</f>
        <v>0.75</v>
      </c>
      <c r="H10" s="57">
        <f>MAX(C10:F10)</f>
        <v>0.78750000000000009</v>
      </c>
      <c r="I10" s="36"/>
      <c r="J10" s="37" t="s">
        <v>50</v>
      </c>
      <c r="K10" s="38">
        <f>C60</f>
        <v>1000</v>
      </c>
      <c r="L10" s="38">
        <f t="shared" ref="L10:N10" si="6">D60</f>
        <v>900</v>
      </c>
      <c r="M10" s="38">
        <f t="shared" si="6"/>
        <v>800</v>
      </c>
      <c r="N10" s="38">
        <f t="shared" si="6"/>
        <v>500</v>
      </c>
    </row>
    <row r="11" spans="2:14" x14ac:dyDescent="0.2">
      <c r="B11" s="9" t="s">
        <v>13</v>
      </c>
      <c r="C11" s="13">
        <f>C10/ubest*C4</f>
        <v>888.8888888888888</v>
      </c>
      <c r="D11" s="13">
        <f>D10/ubest*D4</f>
        <v>844.44444444444434</v>
      </c>
      <c r="E11" s="13">
        <f>E10/ubest*E4</f>
        <v>800</v>
      </c>
      <c r="F11" s="13">
        <f>F10/ubest*F4</f>
        <v>666.66666666666663</v>
      </c>
      <c r="H11" s="56"/>
      <c r="I11" s="36"/>
      <c r="J11" s="11"/>
      <c r="K11" s="11"/>
      <c r="L11" s="11"/>
    </row>
    <row r="12" spans="2:14" x14ac:dyDescent="0.2">
      <c r="B12" s="10" t="s">
        <v>14</v>
      </c>
      <c r="C12" s="12">
        <f>C4-C11</f>
        <v>111.1111111111112</v>
      </c>
      <c r="D12" s="12">
        <f>D4-D11</f>
        <v>55.555555555555657</v>
      </c>
      <c r="E12" s="12">
        <f>E4-E11</f>
        <v>0</v>
      </c>
      <c r="F12" s="12">
        <f>F4-F11</f>
        <v>33.333333333333371</v>
      </c>
      <c r="H12" s="56"/>
      <c r="I12" s="36"/>
      <c r="J12" s="11"/>
      <c r="K12" s="11"/>
      <c r="L12" s="11"/>
    </row>
    <row r="13" spans="2:14" x14ac:dyDescent="0.2">
      <c r="B13" s="20" t="s">
        <v>11</v>
      </c>
      <c r="C13" s="20">
        <f>RANK(C12,$C$12:$F$12,1)</f>
        <v>4</v>
      </c>
      <c r="D13" s="20">
        <f>RANK(D12,$C$12:$F$12,1)</f>
        <v>3</v>
      </c>
      <c r="E13" s="20">
        <f>RANK(E12,$C$12:$F$12,1)</f>
        <v>1</v>
      </c>
      <c r="F13" s="20">
        <f>RANK(F12,$C$12:$F$12,1)</f>
        <v>2</v>
      </c>
      <c r="H13" s="56"/>
      <c r="I13" s="36"/>
      <c r="J13" s="11"/>
      <c r="K13" s="11"/>
      <c r="L13" s="11"/>
    </row>
    <row r="14" spans="2:14" x14ac:dyDescent="0.2">
      <c r="B14" s="21" t="s">
        <v>12</v>
      </c>
      <c r="C14" s="21">
        <f>C12/C4</f>
        <v>0.1111111111111112</v>
      </c>
      <c r="D14" s="21">
        <f t="shared" ref="D14:F14" si="7">D12/D4</f>
        <v>6.172839506172851E-2</v>
      </c>
      <c r="E14" s="21">
        <f t="shared" si="7"/>
        <v>0</v>
      </c>
      <c r="F14" s="21">
        <f t="shared" si="7"/>
        <v>4.7619047619047672E-2</v>
      </c>
      <c r="H14" s="56"/>
      <c r="I14" s="36"/>
      <c r="J14" s="11"/>
      <c r="K14" s="11"/>
      <c r="L14" s="11"/>
    </row>
    <row r="15" spans="2:14" x14ac:dyDescent="0.2">
      <c r="H15" s="56"/>
      <c r="I15" s="36"/>
      <c r="J15" s="11"/>
      <c r="K15" s="11"/>
      <c r="L15" s="11"/>
    </row>
    <row r="16" spans="2:14" x14ac:dyDescent="0.2">
      <c r="B16" s="39" t="s">
        <v>35</v>
      </c>
      <c r="C16" s="20" t="s">
        <v>21</v>
      </c>
      <c r="H16" s="56"/>
      <c r="I16" s="36"/>
      <c r="J16" s="11"/>
      <c r="K16" s="11"/>
      <c r="L16" s="11"/>
    </row>
    <row r="17" spans="2:9" x14ac:dyDescent="0.2">
      <c r="C17" s="3" t="s">
        <v>16</v>
      </c>
      <c r="D17" s="26">
        <v>800</v>
      </c>
      <c r="E17" s="3" t="s">
        <v>17</v>
      </c>
      <c r="F17" s="26">
        <v>0</v>
      </c>
      <c r="H17" s="56"/>
      <c r="I17" s="36"/>
    </row>
    <row r="18" spans="2:9" x14ac:dyDescent="0.2">
      <c r="B18" s="3" t="s">
        <v>18</v>
      </c>
      <c r="C18" s="23">
        <f>wq*C3</f>
        <v>0.25</v>
      </c>
      <c r="D18" s="23">
        <f>wq*D3</f>
        <v>0.22500000000000001</v>
      </c>
      <c r="E18" s="23">
        <f>wq*E3</f>
        <v>0.2</v>
      </c>
      <c r="F18" s="23">
        <f>wq*F3</f>
        <v>0.125</v>
      </c>
      <c r="H18" s="57">
        <f>MAX(C18:F18)</f>
        <v>0.25</v>
      </c>
    </row>
    <row r="19" spans="2:9" x14ac:dyDescent="0.2">
      <c r="B19" s="3" t="s">
        <v>19</v>
      </c>
      <c r="C19" s="23">
        <f>wp*((psetmax-C4)/(psetmax-psetmin))</f>
        <v>-0.125</v>
      </c>
      <c r="D19" s="23">
        <f>wp*((psetmax-D4)/(psetmax-psetmin))</f>
        <v>-6.25E-2</v>
      </c>
      <c r="E19" s="23">
        <f>wp*((psetmax-E4)/(psetmax-psetmin))</f>
        <v>0</v>
      </c>
      <c r="F19" s="23">
        <f>wp*((psetmax-F4)/(psetmax-psetmin))</f>
        <v>6.25E-2</v>
      </c>
      <c r="H19" s="57">
        <f t="shared" ref="H19:H20" si="8">MAX(C19:F19)</f>
        <v>6.25E-2</v>
      </c>
    </row>
    <row r="20" spans="2:9" x14ac:dyDescent="0.2">
      <c r="B20" s="3" t="s">
        <v>20</v>
      </c>
      <c r="C20" s="23">
        <f>C19+C18</f>
        <v>0.125</v>
      </c>
      <c r="D20" s="23">
        <f t="shared" ref="D20:F20" si="9">D19+D18</f>
        <v>0.16250000000000001</v>
      </c>
      <c r="E20" s="23">
        <f t="shared" si="9"/>
        <v>0.2</v>
      </c>
      <c r="F20" s="23">
        <f t="shared" si="9"/>
        <v>0.1875</v>
      </c>
      <c r="H20" s="57">
        <f t="shared" si="8"/>
        <v>0.2</v>
      </c>
    </row>
    <row r="21" spans="2:9" x14ac:dyDescent="0.2">
      <c r="B21" s="3" t="s">
        <v>11</v>
      </c>
      <c r="C21" s="20">
        <f>RANK(C20,$C$20:$F$20)</f>
        <v>4</v>
      </c>
      <c r="D21" s="20">
        <f t="shared" ref="D21:F21" si="10">RANK(D20,$C$20:$F$20)</f>
        <v>3</v>
      </c>
      <c r="E21" s="20">
        <f t="shared" si="10"/>
        <v>1</v>
      </c>
      <c r="F21" s="20">
        <f t="shared" si="10"/>
        <v>2</v>
      </c>
      <c r="H21" s="56"/>
    </row>
    <row r="22" spans="2:9" x14ac:dyDescent="0.2">
      <c r="B22" s="3" t="s">
        <v>22</v>
      </c>
      <c r="C22" s="12">
        <f>C4-((MAX($C$20:$F$20)-C20)*((psetmax-psetmin)/wp))</f>
        <v>880</v>
      </c>
      <c r="D22" s="12">
        <f>D4-((MAX($C$20:$F$20)-D20)*((psetmax-psetmin)/wp))</f>
        <v>840</v>
      </c>
      <c r="E22" s="12">
        <f>E4-((MAX($C$20:$F$20)-E20)*((psetmax-psetmin)/wp))</f>
        <v>800</v>
      </c>
      <c r="F22" s="12">
        <f>F4-((MAX($C$20:$F$20)-F20)*((psetmax-psetmin)/wp))</f>
        <v>680</v>
      </c>
      <c r="H22" s="56"/>
    </row>
    <row r="23" spans="2:9" x14ac:dyDescent="0.2">
      <c r="B23" s="21" t="s">
        <v>12</v>
      </c>
      <c r="C23" s="21">
        <f>(C4-C22)/C4</f>
        <v>0.12</v>
      </c>
      <c r="D23" s="21">
        <f t="shared" ref="D23:F23" si="11">(D4-D22)/D4</f>
        <v>6.6666666666666666E-2</v>
      </c>
      <c r="E23" s="21">
        <f t="shared" si="11"/>
        <v>0</v>
      </c>
      <c r="F23" s="21">
        <f t="shared" si="11"/>
        <v>2.8571428571428571E-2</v>
      </c>
      <c r="H23" s="56"/>
    </row>
    <row r="24" spans="2:9" x14ac:dyDescent="0.2">
      <c r="G24" s="5"/>
      <c r="H24" s="58"/>
    </row>
    <row r="25" spans="2:9" x14ac:dyDescent="0.2">
      <c r="B25" s="40" t="s">
        <v>36</v>
      </c>
      <c r="C25" s="20" t="s">
        <v>27</v>
      </c>
      <c r="G25" s="5"/>
      <c r="H25" s="58"/>
    </row>
    <row r="26" spans="2:9" x14ac:dyDescent="0.2">
      <c r="C26" s="3" t="s">
        <v>23</v>
      </c>
      <c r="D26" s="26">
        <v>800</v>
      </c>
      <c r="E26" s="24"/>
      <c r="G26" s="5"/>
      <c r="H26" s="59"/>
    </row>
    <row r="27" spans="2:9" x14ac:dyDescent="0.2">
      <c r="B27" s="3" t="s">
        <v>24</v>
      </c>
      <c r="C27" s="12">
        <f>qsetvalue*C3</f>
        <v>400</v>
      </c>
      <c r="D27" s="12">
        <f>qsetvalue*D3</f>
        <v>360</v>
      </c>
      <c r="E27" s="12">
        <f>qsetvalue*E3</f>
        <v>320</v>
      </c>
      <c r="F27" s="12">
        <f>qsetvalue*F3</f>
        <v>200</v>
      </c>
      <c r="G27" s="5"/>
      <c r="H27" s="59"/>
    </row>
    <row r="28" spans="2:9" x14ac:dyDescent="0.2">
      <c r="B28" s="3" t="s">
        <v>26</v>
      </c>
      <c r="C28" s="12">
        <f>C4-C27</f>
        <v>600</v>
      </c>
      <c r="D28" s="12">
        <f>D4-D27</f>
        <v>540</v>
      </c>
      <c r="E28" s="12">
        <f>E4-E27</f>
        <v>480</v>
      </c>
      <c r="F28" s="12">
        <f>F4-F27</f>
        <v>500</v>
      </c>
      <c r="G28" s="5"/>
      <c r="H28" s="60">
        <f>MIN(C28:F28)</f>
        <v>480</v>
      </c>
    </row>
    <row r="29" spans="2:9" x14ac:dyDescent="0.2">
      <c r="B29" s="3" t="s">
        <v>25</v>
      </c>
      <c r="C29" s="25">
        <f>RANK(C28,$C$28:$F$28,1)</f>
        <v>4</v>
      </c>
      <c r="D29" s="25">
        <f>RANK(D28,$C$28:$F$28,1)</f>
        <v>3</v>
      </c>
      <c r="E29" s="25">
        <f>RANK(E28,$C$28:$F$28,1)</f>
        <v>1</v>
      </c>
      <c r="F29" s="25">
        <f>RANK(F28,$C$28:$F$28,1)</f>
        <v>2</v>
      </c>
      <c r="G29" s="5"/>
      <c r="H29" s="58"/>
    </row>
    <row r="30" spans="2:9" x14ac:dyDescent="0.2">
      <c r="B30" s="3" t="s">
        <v>14</v>
      </c>
      <c r="C30" s="12">
        <f>C28-minvev</f>
        <v>120</v>
      </c>
      <c r="D30" s="12">
        <f>D28-minvev</f>
        <v>60</v>
      </c>
      <c r="E30" s="12">
        <f>E28-minvev</f>
        <v>0</v>
      </c>
      <c r="F30" s="12">
        <f>F28-minvev</f>
        <v>20</v>
      </c>
      <c r="G30" s="5"/>
      <c r="H30" s="58"/>
    </row>
    <row r="31" spans="2:9" x14ac:dyDescent="0.2">
      <c r="B31" s="3" t="s">
        <v>22</v>
      </c>
      <c r="C31" s="12">
        <f>C4-C30</f>
        <v>880</v>
      </c>
      <c r="D31" s="12">
        <f>D4-D30</f>
        <v>840</v>
      </c>
      <c r="E31" s="12">
        <f>E4-E30</f>
        <v>800</v>
      </c>
      <c r="F31" s="12">
        <f>F4-F30</f>
        <v>680</v>
      </c>
      <c r="G31" s="5"/>
      <c r="H31" s="58"/>
    </row>
    <row r="32" spans="2:9" x14ac:dyDescent="0.2">
      <c r="B32" s="21" t="s">
        <v>12</v>
      </c>
      <c r="C32" s="21">
        <f>C30/C4</f>
        <v>0.12</v>
      </c>
      <c r="D32" s="21">
        <f>D30/D4</f>
        <v>6.6666666666666666E-2</v>
      </c>
      <c r="E32" s="21">
        <f>E30/E4</f>
        <v>0</v>
      </c>
      <c r="F32" s="21">
        <f>F30/F4</f>
        <v>2.8571428571428571E-2</v>
      </c>
      <c r="G32" s="5"/>
      <c r="H32" s="58"/>
    </row>
    <row r="33" spans="2:12" x14ac:dyDescent="0.2">
      <c r="H33" s="56"/>
      <c r="J33" s="41"/>
      <c r="K33" s="41"/>
      <c r="L33" s="42"/>
    </row>
    <row r="34" spans="2:12" x14ac:dyDescent="0.2">
      <c r="B34" s="45" t="s">
        <v>30</v>
      </c>
      <c r="C34" s="50" t="s">
        <v>31</v>
      </c>
      <c r="D34" s="41"/>
      <c r="E34" s="41"/>
      <c r="F34" s="41"/>
      <c r="G34" s="41"/>
      <c r="H34" s="61"/>
      <c r="I34" s="41"/>
      <c r="J34" s="20"/>
      <c r="L34" s="27"/>
    </row>
    <row r="35" spans="2:12" x14ac:dyDescent="0.2">
      <c r="B35" s="3" t="s">
        <v>18</v>
      </c>
      <c r="C35" s="11">
        <f>wq*C3</f>
        <v>0.25</v>
      </c>
      <c r="D35" s="11">
        <f>wq*D3</f>
        <v>0.22500000000000001</v>
      </c>
      <c r="E35" s="11">
        <f>wq*E3</f>
        <v>0.2</v>
      </c>
      <c r="F35" s="11">
        <f>wq*F3</f>
        <v>0.125</v>
      </c>
      <c r="G35" s="20"/>
      <c r="H35" s="62"/>
      <c r="I35" s="20"/>
      <c r="J35" s="43"/>
      <c r="L35" s="27"/>
    </row>
    <row r="36" spans="2:12" x14ac:dyDescent="0.2">
      <c r="B36" s="3" t="s">
        <v>19</v>
      </c>
      <c r="C36" s="11">
        <f>wp*pbest/C4</f>
        <v>0.35</v>
      </c>
      <c r="D36" s="11">
        <f>wp*pbest/D4</f>
        <v>0.3888888888888889</v>
      </c>
      <c r="E36" s="11">
        <f>wp*pbest/E4</f>
        <v>0.4375</v>
      </c>
      <c r="F36" s="11">
        <f>wp*pbest/F4</f>
        <v>0.5</v>
      </c>
      <c r="G36" s="43"/>
      <c r="H36" s="63"/>
      <c r="I36" s="43"/>
      <c r="J36" s="12"/>
      <c r="K36" s="12"/>
      <c r="L36" s="27"/>
    </row>
    <row r="37" spans="2:12" x14ac:dyDescent="0.2">
      <c r="B37" s="3" t="s">
        <v>20</v>
      </c>
      <c r="C37" s="11">
        <f>C36+C35</f>
        <v>0.6</v>
      </c>
      <c r="D37" s="11">
        <f t="shared" ref="D37:F37" si="12">D36+D35</f>
        <v>0.61388888888888893</v>
      </c>
      <c r="E37" s="11">
        <f t="shared" si="12"/>
        <v>0.63749999999999996</v>
      </c>
      <c r="F37" s="11">
        <f t="shared" si="12"/>
        <v>0.625</v>
      </c>
      <c r="G37" s="12"/>
      <c r="H37" s="56">
        <f>MAX(C37:F37)</f>
        <v>0.63749999999999996</v>
      </c>
      <c r="I37" s="12"/>
      <c r="J37" s="44"/>
      <c r="K37" s="34"/>
      <c r="L37" s="27"/>
    </row>
    <row r="38" spans="2:12" x14ac:dyDescent="0.2">
      <c r="B38" s="3" t="s">
        <v>11</v>
      </c>
      <c r="C38" s="20">
        <f>RANK(C37,lbsrange)</f>
        <v>4</v>
      </c>
      <c r="D38" s="20">
        <f>RANK(D37,lbsrange)</f>
        <v>3</v>
      </c>
      <c r="E38" s="20">
        <f>RANK(E37,lbsrange)</f>
        <v>1</v>
      </c>
      <c r="F38" s="20">
        <f>RANK(F37,lbsrange)</f>
        <v>2</v>
      </c>
      <c r="G38" s="44"/>
      <c r="H38" s="64"/>
      <c r="I38" s="44"/>
      <c r="J38" s="44"/>
      <c r="K38" s="34"/>
      <c r="L38" s="27"/>
    </row>
    <row r="39" spans="2:12" x14ac:dyDescent="0.2">
      <c r="B39" s="3" t="s">
        <v>14</v>
      </c>
      <c r="C39" s="12">
        <f>C4-C40</f>
        <v>96.774193548386961</v>
      </c>
      <c r="D39" s="12">
        <f>D4-D40</f>
        <v>51.515151515151501</v>
      </c>
      <c r="E39" s="12">
        <f>E4-E40</f>
        <v>0</v>
      </c>
      <c r="F39" s="12">
        <f>F4-F40</f>
        <v>17.073170731707251</v>
      </c>
      <c r="G39" s="44"/>
      <c r="H39" s="64"/>
      <c r="I39" s="44"/>
    </row>
    <row r="40" spans="2:12" x14ac:dyDescent="0.2">
      <c r="B40" s="3" t="s">
        <v>22</v>
      </c>
      <c r="C40" s="12">
        <f>pbest*wp/(bestlbs-wq*C3)</f>
        <v>903.22580645161304</v>
      </c>
      <c r="D40" s="12">
        <f>pbest*wp/(bestlbs-wq*D3)</f>
        <v>848.4848484848485</v>
      </c>
      <c r="E40" s="12">
        <f>pbest*wp/(bestlbs-wq*E3)</f>
        <v>800.00000000000011</v>
      </c>
      <c r="F40" s="12">
        <f>pbest*wp/(bestlbs-wq*F3)</f>
        <v>682.92682926829275</v>
      </c>
      <c r="H40" s="56"/>
    </row>
    <row r="41" spans="2:12" x14ac:dyDescent="0.2">
      <c r="B41" s="44" t="s">
        <v>12</v>
      </c>
      <c r="C41" s="44">
        <f>C39/C4</f>
        <v>9.6774193548386955E-2</v>
      </c>
      <c r="D41" s="44">
        <f>D39/D4</f>
        <v>5.7239057239057221E-2</v>
      </c>
      <c r="E41" s="44">
        <f>E39/E4</f>
        <v>0</v>
      </c>
      <c r="F41" s="44">
        <f>F39/F4</f>
        <v>2.4390243902438928E-2</v>
      </c>
      <c r="H41" s="56"/>
    </row>
    <row r="42" spans="2:12" x14ac:dyDescent="0.2">
      <c r="H42" s="56"/>
    </row>
    <row r="43" spans="2:12" x14ac:dyDescent="0.2">
      <c r="B43" s="49" t="s">
        <v>44</v>
      </c>
      <c r="C43" s="20" t="s">
        <v>41</v>
      </c>
      <c r="H43" s="56"/>
    </row>
    <row r="44" spans="2:12" x14ac:dyDescent="0.2">
      <c r="C44" s="47" t="s">
        <v>40</v>
      </c>
      <c r="D44" s="26">
        <v>2</v>
      </c>
      <c r="E44" s="3" t="s">
        <v>42</v>
      </c>
      <c r="H44" s="56"/>
    </row>
    <row r="45" spans="2:12" x14ac:dyDescent="0.2">
      <c r="C45" s="48" t="s">
        <v>45</v>
      </c>
      <c r="F45" s="46"/>
      <c r="H45" s="56"/>
    </row>
    <row r="46" spans="2:12" x14ac:dyDescent="0.2">
      <c r="B46" s="3" t="s">
        <v>18</v>
      </c>
      <c r="C46" s="11">
        <f>wq*C3</f>
        <v>0.25</v>
      </c>
      <c r="D46" s="11">
        <f>wq*D3</f>
        <v>0.22500000000000001</v>
      </c>
      <c r="E46" s="11">
        <f>wq*E3</f>
        <v>0.2</v>
      </c>
      <c r="F46" s="11">
        <f>wq*F3</f>
        <v>0.125</v>
      </c>
      <c r="H46" s="56"/>
    </row>
    <row r="47" spans="2:12" x14ac:dyDescent="0.2">
      <c r="B47" s="3" t="s">
        <v>19</v>
      </c>
      <c r="C47" s="11">
        <f>wp-wp*LOG(C4/pbest)/LOG(xtimespbest)</f>
        <v>0.24271341358512083</v>
      </c>
      <c r="D47" s="11">
        <f>wp-wp*LOG(D4/pbest)/LOG(xtimespbest)</f>
        <v>0.31871496030764579</v>
      </c>
      <c r="E47" s="11">
        <f>wp-wp*LOG(E4/pbest)/LOG(xtimespbest)</f>
        <v>0.40367746102880209</v>
      </c>
      <c r="F47" s="11">
        <f>wp-wp*LOG(F4/pbest)/LOG(xtimespbest)</f>
        <v>0.5</v>
      </c>
      <c r="H47" s="56"/>
    </row>
    <row r="48" spans="2:12" x14ac:dyDescent="0.2">
      <c r="B48" s="3" t="s">
        <v>20</v>
      </c>
      <c r="C48" s="11">
        <f>C47+C46</f>
        <v>0.49271341358512083</v>
      </c>
      <c r="D48" s="11">
        <f t="shared" ref="D48:F48" si="13">D47+D46</f>
        <v>0.54371496030764577</v>
      </c>
      <c r="E48" s="11">
        <f t="shared" si="13"/>
        <v>0.60367746102880204</v>
      </c>
      <c r="F48" s="11">
        <f t="shared" si="13"/>
        <v>0.625</v>
      </c>
      <c r="H48" s="56">
        <f>MAX(C48:F48)</f>
        <v>0.625</v>
      </c>
    </row>
    <row r="49" spans="2:8" x14ac:dyDescent="0.2">
      <c r="B49" s="3" t="s">
        <v>11</v>
      </c>
      <c r="C49" s="20">
        <f>RANK(C48,logrange)</f>
        <v>4</v>
      </c>
      <c r="D49" s="20">
        <f>RANK(D48,logrange)</f>
        <v>3</v>
      </c>
      <c r="E49" s="20">
        <f>RANK(E48,logrange)</f>
        <v>2</v>
      </c>
      <c r="F49" s="20">
        <f>RANK(F48,logrange)</f>
        <v>1</v>
      </c>
      <c r="H49" s="56"/>
    </row>
    <row r="50" spans="2:8" x14ac:dyDescent="0.2">
      <c r="B50" s="3" t="s">
        <v>14</v>
      </c>
      <c r="C50" s="12">
        <f>C4-C51</f>
        <v>167.55501949809434</v>
      </c>
      <c r="D50" s="12">
        <f>D4-D51</f>
        <v>95.91115150207429</v>
      </c>
      <c r="E50" s="12">
        <f>E4-E51</f>
        <v>23.301369552507708</v>
      </c>
      <c r="F50" s="12">
        <f>F4-F51</f>
        <v>0</v>
      </c>
      <c r="H50" s="56"/>
    </row>
    <row r="51" spans="2:8" x14ac:dyDescent="0.2">
      <c r="B51" s="3" t="s">
        <v>22</v>
      </c>
      <c r="C51" s="12">
        <f>10^((logbest-wq*C3-wp)*LOG(xtimespbest,10)/-wp+LOG(pbest))</f>
        <v>832.44498050190566</v>
      </c>
      <c r="D51" s="12">
        <f>10^((logbest-wq*D3-wp)*LOG(xtimespbest,10)/-wp+LOG(pbest))</f>
        <v>804.08884849792571</v>
      </c>
      <c r="E51" s="12">
        <f>10^((logbest-wq*E3-wp)*LOG(xtimespbest,10)/-wp+LOG(pbest))</f>
        <v>776.69863044749229</v>
      </c>
      <c r="F51" s="12">
        <f>10^((logbest-wq*F3-wp)*LOG(xtimespbest,10)/-wp+LOG(pbest))</f>
        <v>700.00000000000045</v>
      </c>
      <c r="H51" s="56"/>
    </row>
    <row r="52" spans="2:8" x14ac:dyDescent="0.2">
      <c r="B52" s="44" t="s">
        <v>12</v>
      </c>
      <c r="C52" s="44">
        <f>C50/C4</f>
        <v>0.16755501949809434</v>
      </c>
      <c r="D52" s="44">
        <f>D50/D4</f>
        <v>0.10656794611341588</v>
      </c>
      <c r="E52" s="44">
        <f>E50/E4</f>
        <v>2.9126711940634636E-2</v>
      </c>
      <c r="F52" s="44">
        <f>F50/F4</f>
        <v>0</v>
      </c>
      <c r="H52" s="56"/>
    </row>
    <row r="54" spans="2:8" x14ac:dyDescent="0.2">
      <c r="B54" s="65" t="s">
        <v>51</v>
      </c>
    </row>
    <row r="55" spans="2:8" x14ac:dyDescent="0.2">
      <c r="B55" s="3" t="s">
        <v>47</v>
      </c>
      <c r="C55" s="34">
        <f>C3</f>
        <v>0.5</v>
      </c>
      <c r="D55" s="34">
        <f t="shared" ref="D55:F55" si="14">D3</f>
        <v>0.45</v>
      </c>
      <c r="E55" s="34">
        <f t="shared" si="14"/>
        <v>0.4</v>
      </c>
      <c r="F55" s="34">
        <f t="shared" si="14"/>
        <v>0.25</v>
      </c>
    </row>
    <row r="56" spans="2:8" x14ac:dyDescent="0.2">
      <c r="B56" s="3" t="s">
        <v>48</v>
      </c>
      <c r="C56" s="12">
        <f>C4</f>
        <v>1000</v>
      </c>
      <c r="D56" s="12">
        <f t="shared" ref="D56:F56" si="15">D4</f>
        <v>900</v>
      </c>
      <c r="E56" s="12">
        <f t="shared" si="15"/>
        <v>800</v>
      </c>
      <c r="F56" s="12">
        <f t="shared" si="15"/>
        <v>700</v>
      </c>
    </row>
    <row r="57" spans="2:8" x14ac:dyDescent="0.2">
      <c r="B57" s="3" t="s">
        <v>49</v>
      </c>
      <c r="C57" s="3">
        <f>C55/C56</f>
        <v>5.0000000000000001E-4</v>
      </c>
      <c r="D57" s="3">
        <f t="shared" ref="D57:F57" si="16">D55/D56</f>
        <v>5.0000000000000001E-4</v>
      </c>
      <c r="E57" s="3">
        <f t="shared" si="16"/>
        <v>5.0000000000000001E-4</v>
      </c>
      <c r="F57" s="3">
        <f t="shared" si="16"/>
        <v>3.5714285714285714E-4</v>
      </c>
      <c r="H57" s="27">
        <f>MAX(vfmrange)</f>
        <v>5.0000000000000001E-4</v>
      </c>
    </row>
    <row r="58" spans="2:8" x14ac:dyDescent="0.2">
      <c r="B58" s="3" t="s">
        <v>11</v>
      </c>
      <c r="C58" s="3">
        <f>RANK(C57,vfmrange)</f>
        <v>1</v>
      </c>
      <c r="D58" s="3">
        <f>RANK(D57,vfmrange)</f>
        <v>1</v>
      </c>
      <c r="E58" s="3">
        <f>RANK(E57,vfmrange)</f>
        <v>1</v>
      </c>
      <c r="F58" s="3">
        <f>RANK(F57,vfmrange)</f>
        <v>4</v>
      </c>
    </row>
    <row r="59" spans="2:8" x14ac:dyDescent="0.2">
      <c r="B59" s="3" t="s">
        <v>14</v>
      </c>
      <c r="C59" s="12">
        <f>C56-C60</f>
        <v>0</v>
      </c>
      <c r="D59" s="12">
        <f t="shared" ref="D59:F59" si="17">D56-D60</f>
        <v>0</v>
      </c>
      <c r="E59" s="12">
        <f t="shared" si="17"/>
        <v>0</v>
      </c>
      <c r="F59" s="12">
        <f t="shared" si="17"/>
        <v>200</v>
      </c>
    </row>
    <row r="60" spans="2:8" x14ac:dyDescent="0.2">
      <c r="B60" s="3" t="s">
        <v>22</v>
      </c>
      <c r="C60" s="12">
        <f>C55/vfmmax</f>
        <v>1000</v>
      </c>
      <c r="D60" s="12">
        <f>D55/vfmmax</f>
        <v>900</v>
      </c>
      <c r="E60" s="12">
        <f>E55/vfmmax</f>
        <v>800</v>
      </c>
      <c r="F60" s="12">
        <f>F55/vfmmax</f>
        <v>500</v>
      </c>
    </row>
    <row r="61" spans="2:8" x14ac:dyDescent="0.2">
      <c r="B61" s="44" t="s">
        <v>12</v>
      </c>
      <c r="C61" s="44">
        <f>C59/C56</f>
        <v>0</v>
      </c>
      <c r="D61" s="44">
        <f t="shared" ref="D61:F61" si="18">D59/D56</f>
        <v>0</v>
      </c>
      <c r="E61" s="44">
        <f t="shared" si="18"/>
        <v>0</v>
      </c>
      <c r="F61" s="44">
        <f t="shared" si="18"/>
        <v>0.2857142857142857</v>
      </c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Siderius</dc:creator>
  <cp:lastModifiedBy>Microsoft Office User</cp:lastModifiedBy>
  <cp:lastPrinted>2010-11-28T21:50:15Z</cp:lastPrinted>
  <dcterms:created xsi:type="dcterms:W3CDTF">2010-11-28T10:55:27Z</dcterms:created>
  <dcterms:modified xsi:type="dcterms:W3CDTF">2017-02-22T12:57:32Z</dcterms:modified>
</cp:coreProperties>
</file>